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dp-my.sharepoint.com/personal/therese_inarukundo_undp_org/Documents/"/>
    </mc:Choice>
  </mc:AlternateContent>
  <xr:revisionPtr revIDLastSave="0" documentId="14_{08EF60E8-77E3-468B-AC99-CC0CAD5A9321}" xr6:coauthVersionLast="47" xr6:coauthVersionMax="47" xr10:uidLastSave="{00000000-0000-0000-0000-000000000000}"/>
  <bookViews>
    <workbookView xWindow="-110" yWindow="-110" windowWidth="19420" windowHeight="10300" xr2:uid="{4D84D27E-8C22-4BDA-8293-57BE9E4F1888}"/>
  </bookViews>
  <sheets>
    <sheet name="Détail par activité" sheetId="1" r:id="rId1"/>
    <sheet name="RECAP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10" i="5"/>
  <c r="E11" i="5"/>
  <c r="E12" i="5"/>
  <c r="D9" i="5"/>
  <c r="D10" i="5"/>
  <c r="D11" i="5"/>
  <c r="D12" i="5"/>
  <c r="D16" i="5"/>
  <c r="E8" i="5"/>
  <c r="D8" i="5"/>
  <c r="C13" i="5"/>
  <c r="C17" i="5" s="1"/>
  <c r="B13" i="5"/>
  <c r="D13" i="5" s="1"/>
  <c r="H10" i="1"/>
  <c r="I10" i="1" s="1"/>
  <c r="H11" i="1"/>
  <c r="I11" i="1" s="1"/>
  <c r="D15" i="1"/>
  <c r="E15" i="1"/>
  <c r="F15" i="1"/>
  <c r="G15" i="1"/>
  <c r="D16" i="1"/>
  <c r="E16" i="1"/>
  <c r="H16" i="1" s="1"/>
  <c r="D17" i="1"/>
  <c r="I17" i="1" s="1"/>
  <c r="H17" i="1"/>
  <c r="D18" i="1"/>
  <c r="E18" i="1"/>
  <c r="H19" i="1"/>
  <c r="I19" i="1"/>
  <c r="F20" i="1"/>
  <c r="G20" i="1"/>
  <c r="D21" i="1"/>
  <c r="H21" i="1"/>
  <c r="D22" i="1"/>
  <c r="H22" i="1"/>
  <c r="H30" i="1" s="1"/>
  <c r="H24" i="1"/>
  <c r="I24" i="1" s="1"/>
  <c r="E25" i="1"/>
  <c r="H25" i="1" s="1"/>
  <c r="I25" i="1" s="1"/>
  <c r="H26" i="1"/>
  <c r="I26" i="1"/>
  <c r="H27" i="1"/>
  <c r="I27" i="1"/>
  <c r="H28" i="1"/>
  <c r="I28" i="1"/>
  <c r="H29" i="1"/>
  <c r="I29" i="1"/>
  <c r="E30" i="1"/>
  <c r="F30" i="1"/>
  <c r="G30" i="1"/>
  <c r="H31" i="1"/>
  <c r="I31" i="1" s="1"/>
  <c r="D32" i="1"/>
  <c r="H32" i="1"/>
  <c r="H33" i="1"/>
  <c r="I33" i="1"/>
  <c r="H34" i="1"/>
  <c r="I34" i="1"/>
  <c r="H35" i="1"/>
  <c r="I35" i="1" s="1"/>
  <c r="F36" i="1"/>
  <c r="H36" i="1" s="1"/>
  <c r="I36" i="1" s="1"/>
  <c r="F37" i="1"/>
  <c r="H37" i="1" s="1"/>
  <c r="H38" i="1"/>
  <c r="I38" i="1"/>
  <c r="H39" i="1"/>
  <c r="I39" i="1"/>
  <c r="F40" i="1"/>
  <c r="H40" i="1"/>
  <c r="I40" i="1" s="1"/>
  <c r="F41" i="1"/>
  <c r="H41" i="1"/>
  <c r="I41" i="1"/>
  <c r="H42" i="1"/>
  <c r="I42" i="1" s="1"/>
  <c r="H43" i="1"/>
  <c r="I43" i="1"/>
  <c r="H44" i="1"/>
  <c r="I44" i="1"/>
  <c r="E45" i="1"/>
  <c r="G45" i="1"/>
  <c r="F47" i="1"/>
  <c r="H48" i="1"/>
  <c r="I48" i="1"/>
  <c r="F49" i="1"/>
  <c r="H49" i="1" s="1"/>
  <c r="I49" i="1" s="1"/>
  <c r="H50" i="1"/>
  <c r="I50" i="1"/>
  <c r="H51" i="1"/>
  <c r="I51" i="1" s="1"/>
  <c r="F52" i="1"/>
  <c r="H52" i="1" s="1"/>
  <c r="I52" i="1" s="1"/>
  <c r="H53" i="1"/>
  <c r="I53" i="1"/>
  <c r="H54" i="1"/>
  <c r="I54" i="1"/>
  <c r="H55" i="1"/>
  <c r="I55" i="1"/>
  <c r="D56" i="1"/>
  <c r="E56" i="1"/>
  <c r="G56" i="1"/>
  <c r="D60" i="1"/>
  <c r="E13" i="5" l="1"/>
  <c r="D30" i="1"/>
  <c r="J30" i="1" s="1"/>
  <c r="I32" i="1"/>
  <c r="E20" i="1"/>
  <c r="E57" i="1" s="1"/>
  <c r="E60" i="1" s="1"/>
  <c r="F56" i="1"/>
  <c r="G57" i="1"/>
  <c r="G60" i="1" s="1"/>
  <c r="H15" i="1"/>
  <c r="J15" i="1" s="1"/>
  <c r="I22" i="1"/>
  <c r="D20" i="1"/>
  <c r="H45" i="1"/>
  <c r="J45" i="1" s="1"/>
  <c r="I37" i="1"/>
  <c r="I21" i="1"/>
  <c r="F45" i="1"/>
  <c r="F57" i="1" s="1"/>
  <c r="H18" i="1"/>
  <c r="H20" i="1" s="1"/>
  <c r="J20" i="1" s="1"/>
  <c r="H47" i="1"/>
  <c r="I16" i="1"/>
  <c r="D45" i="1"/>
  <c r="I18" i="1" l="1"/>
  <c r="I20" i="1" s="1"/>
  <c r="D57" i="1"/>
  <c r="F60" i="1"/>
  <c r="H60" i="1" s="1"/>
  <c r="I30" i="1"/>
  <c r="I15" i="1"/>
  <c r="B15" i="5"/>
  <c r="D15" i="5" s="1"/>
  <c r="B14" i="5"/>
  <c r="D58" i="1"/>
  <c r="D59" i="1"/>
  <c r="H56" i="1"/>
  <c r="J56" i="1" s="1"/>
  <c r="I47" i="1"/>
  <c r="I56" i="1" s="1"/>
  <c r="I45" i="1"/>
  <c r="E14" i="5" l="1"/>
  <c r="D14" i="5"/>
  <c r="I60" i="1"/>
  <c r="J60" i="1"/>
  <c r="B17" i="5"/>
  <c r="D17" i="5" l="1"/>
  <c r="E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 INARUKUNDO</author>
  </authors>
  <commentList>
    <comment ref="E17" authorId="0" shapeId="0" xr:uid="{67D16A8B-C6C1-4113-B084-47C5394F77AE}">
      <text>
        <r>
          <rPr>
            <b/>
            <sz val="9"/>
            <color indexed="81"/>
            <rFont val="Tahoma"/>
            <family val="2"/>
          </rPr>
          <t>Therese INARUKUNDO:</t>
        </r>
        <r>
          <rPr>
            <sz val="9"/>
            <color indexed="81"/>
            <rFont val="Tahoma"/>
            <family val="2"/>
          </rPr>
          <t xml:space="preserve">
PO construction Lot 2</t>
        </r>
      </text>
    </comment>
  </commentList>
</comments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<sst xmlns="http://schemas.openxmlformats.org/spreadsheetml/2006/main" count="127" uniqueCount="78">
  <si>
    <t>TOTAL</t>
  </si>
  <si>
    <t>Levy (1%)</t>
  </si>
  <si>
    <t>GMS (8%)</t>
  </si>
  <si>
    <t>Total activités</t>
  </si>
  <si>
    <t>Sous-total Rés.5</t>
  </si>
  <si>
    <t>PNUD</t>
  </si>
  <si>
    <t xml:space="preserve">5.7. Quote Part PNUD Mali/coûts pour la finalisation de la Stratégie de Stabilisation et de Résilience de la Région du Liptako-Gourma </t>
  </si>
  <si>
    <t>5.6 Global monitoring, advocacy, and reporting</t>
  </si>
  <si>
    <t>5.5 Equipements et maintenance</t>
  </si>
  <si>
    <t>5.4 Communication</t>
  </si>
  <si>
    <t>5.3 Suivi et évaluation/EMP, visites de terrain, collecte de données</t>
  </si>
  <si>
    <t>5.1.3. GOE/Services communs</t>
  </si>
  <si>
    <t>5.1.2. DPC</t>
  </si>
  <si>
    <t>5.1.1. Ressources Humaines</t>
  </si>
  <si>
    <t xml:space="preserve">5.1 Equipe de mise en œuvre </t>
  </si>
  <si>
    <t xml:space="preserve">Résultat 5: Les moyens de mise en œuvre de la Facilité sont mis en place </t>
  </si>
  <si>
    <t>Sous-total Rés.4</t>
  </si>
  <si>
    <t>UNDP/JSB/AFSIT</t>
  </si>
  <si>
    <t>4.12 Consultance techniques</t>
  </si>
  <si>
    <t>4.9 Organiser 5 dialogues inter-générationnels dans les communes d'intervention</t>
  </si>
  <si>
    <t xml:space="preserve">4.8 Organiser 15 séances socio-culturelles (3 par communes), thème 'Culture facteur de paix': - Organiser une compétition inter villages dans 4 communes d’intervention ; - Organiser des concours des contes et de devinettes dans les communes d’intervention ; - Organiser des concours de la lutte (ADJIRI KORO) ; - Organiser les concours de danses Sanankouré et Sandjele et jeux traditionnels ; - Appuyer la redynamisation du SINANKOUYA </t>
  </si>
  <si>
    <t xml:space="preserve">4.7 Organiser 5 tables rondes (1 par commune) de sensibilisation à travers les médias locaux sur la stabilisation et le contrat social </t>
  </si>
  <si>
    <t>4.4 Fourniture Equipement de production/AGR pour les PDI</t>
  </si>
  <si>
    <t>4.2 Rehabilitation/Construction abris semi durs ameliorés (300 abris)</t>
  </si>
  <si>
    <t>Résultat 4: La cohésion sociale et la paix sont renforcées dans les zones ciblées</t>
  </si>
  <si>
    <t>Sous-total Rés.3</t>
  </si>
  <si>
    <t>3.8 Consultances techniques externes</t>
  </si>
  <si>
    <t>PNUD/ADR</t>
  </si>
  <si>
    <t>3.7 Renforcement des capacités des comités de gestion des infrastructures socio-économiques</t>
  </si>
  <si>
    <t>PNUD/APEJ</t>
  </si>
  <si>
    <t>3.2 Campagne de Formation aux métiers pour 200 jeunes (Bandiagara, Dandoli, Dourou, Doucombo, Pignari-Bana)</t>
  </si>
  <si>
    <t>Résultat 3: Les moyens de subsistance sont disponibles pour toutes les populations cibles</t>
  </si>
  <si>
    <t>Sous-total Rés.2</t>
  </si>
  <si>
    <t>2.4 Consultances techniques</t>
  </si>
  <si>
    <t>2.3 Réhabiliter et équiper (tables etc..) les écoles publiques à Bandiagara (Ecole Alpha Ali Seck - 6 salles de classes) et Pignari-Bana (Logement des enseignants de Goundaka)</t>
  </si>
  <si>
    <t>2.2  Réhabiliter et équiper 2 CSCOMs à Dourou et Doucombo</t>
  </si>
  <si>
    <t>2.1 Réaliser 6 forages d'aduction d'eau sommaire (AES)</t>
  </si>
  <si>
    <t xml:space="preserve">Résultat 2: Les infrastructures essentielles et services de base sont fonctionnelles </t>
  </si>
  <si>
    <t>Sous-total Rés.1</t>
  </si>
  <si>
    <t>1.5 Consultances technique</t>
  </si>
  <si>
    <t xml:space="preserve">1.4. Renforcement des connaissances sur la sécurité communautaire et stabilisation auprés des élus locaux, les représentants des jeunes et femmes, société civile locale, et leaders traditionnels et religieux: 10 séances de formation (2 par communes d'intervention) </t>
  </si>
  <si>
    <t xml:space="preserve">1.3 Mise en place de 5 cellules de veilles dans les communes d'intervention: - appui à la comunication des cellules, formations, et réunion de concertations, analyses et recommendations. </t>
  </si>
  <si>
    <t xml:space="preserve">1.2 Sensibilisation/formation  sur les aspects d'un système d'alerte précoce : - 5 forums des leaders communaitaires et membres des cellules de veilles sur les réponses aux risques sécuritaires; - 1 Campagne par les médias locaux sur la prévention des risques sécuritaires. </t>
  </si>
  <si>
    <t>1.1 . Installer Eclairage public solaire</t>
  </si>
  <si>
    <t>Résultat 1: La sécurité et la présence de l’Etat sont améliorées</t>
  </si>
  <si>
    <t>Total Consommation</t>
  </si>
  <si>
    <t>Avance non liquidés</t>
  </si>
  <si>
    <t>Décaissement</t>
  </si>
  <si>
    <t>PO (Obligations)</t>
  </si>
  <si>
    <t>Taux d'exécution</t>
  </si>
  <si>
    <t>Solde</t>
  </si>
  <si>
    <t>Exécution Budget</t>
  </si>
  <si>
    <t>Montant Budget</t>
  </si>
  <si>
    <t>Responsible Party</t>
  </si>
  <si>
    <t>Activités</t>
  </si>
  <si>
    <t xml:space="preserve">Résultats </t>
  </si>
  <si>
    <t>Plan de Travail LGSF 2024</t>
  </si>
  <si>
    <t>3.4 Formation en réseautage, marketing, chaîne de valeur et mentorat de 100 membres des coopératives AGR (dont 50 femmes) par APEJ</t>
  </si>
  <si>
    <t>3.6 Renforcement des capacités des services techniques en charge de l'accompagnement des coopératives agro alimentaires</t>
  </si>
  <si>
    <t>5.2 Réunions de coordination: Comités locaux (1 fois par mois), comité technique (1 fois par trimestre) comité de pilotage (2 fois par an)</t>
  </si>
  <si>
    <t>Montant ajusté dans Project Resource overview</t>
  </si>
  <si>
    <t>Total activités PTA 2024</t>
  </si>
  <si>
    <t>TOTAL Ressources</t>
  </si>
  <si>
    <t>Taux d'exécution au 31 Décembre 2025</t>
  </si>
  <si>
    <t>LGSF MALI-00127299_Mécanisme de stabilisation pour la région du Liptako Gourma (Burkina Faso, Mali, Niger) - Fenêtre du Mali</t>
  </si>
  <si>
    <t>RAPPORT FINANCIER 2024</t>
  </si>
  <si>
    <r>
      <t>3.1 Rémunération contre Travail (</t>
    </r>
    <r>
      <rPr>
        <b/>
        <sz val="11"/>
        <color theme="1"/>
        <rFont val="Aptos Narrow"/>
        <family val="2"/>
      </rPr>
      <t>Cash for Work</t>
    </r>
    <r>
      <rPr>
        <sz val="11"/>
        <color theme="1"/>
        <rFont val="Aptos Narrow"/>
        <family val="2"/>
      </rPr>
      <t>) pour 1500 bénéficiaires (Bandiagara, Dandoli, Dourou, Doucombo, Pignari-Bana)</t>
    </r>
  </si>
  <si>
    <r>
      <t xml:space="preserve">3.3 Dotation en </t>
    </r>
    <r>
      <rPr>
        <b/>
        <sz val="11"/>
        <color theme="1"/>
        <rFont val="Aptos Narrow"/>
        <family val="2"/>
      </rPr>
      <t xml:space="preserve">équipement des métiers </t>
    </r>
    <r>
      <rPr>
        <sz val="11"/>
        <color theme="1"/>
        <rFont val="Aptos Narrow"/>
        <family val="2"/>
      </rPr>
      <t>pour 200 jeunes (Bandiagara, Dandoli, Dourou, Doucombo, Pignari-Bana)</t>
    </r>
  </si>
  <si>
    <r>
      <t>3.5 Dotation en équipement de</t>
    </r>
    <r>
      <rPr>
        <b/>
        <sz val="11"/>
        <color theme="1"/>
        <rFont val="Aptos Narrow"/>
        <family val="2"/>
      </rPr>
      <t xml:space="preserve"> 10 coopératives AGR</t>
    </r>
  </si>
  <si>
    <r>
      <t xml:space="preserve">4.1 Appuyer les déplacés et retournés: - construction de 80 </t>
    </r>
    <r>
      <rPr>
        <b/>
        <sz val="11"/>
        <color theme="1"/>
        <rFont val="Aptos Narrow"/>
        <family val="2"/>
      </rPr>
      <t>abris</t>
    </r>
    <r>
      <rPr>
        <sz val="11"/>
        <color theme="1"/>
        <rFont val="Aptos Narrow"/>
        <family val="2"/>
      </rPr>
      <t xml:space="preserve"> et dotation en kits solaires</t>
    </r>
  </si>
  <si>
    <r>
      <t xml:space="preserve">4.3 Acquisition de </t>
    </r>
    <r>
      <rPr>
        <b/>
        <sz val="11"/>
        <color theme="1"/>
        <rFont val="Aptos Narrow"/>
        <family val="2"/>
      </rPr>
      <t>Lampes portatives solaire</t>
    </r>
    <r>
      <rPr>
        <sz val="11"/>
        <color theme="1"/>
        <rFont val="Aptos Narrow"/>
        <family val="2"/>
      </rPr>
      <t xml:space="preserve"> pour les PDI( 500)</t>
    </r>
  </si>
  <si>
    <r>
      <t>Eclairage du site PDI en</t>
    </r>
    <r>
      <rPr>
        <b/>
        <sz val="11"/>
        <color theme="1"/>
        <rFont val="Aptos Narrow"/>
        <family val="2"/>
      </rPr>
      <t xml:space="preserve"> lampadaires solaires</t>
    </r>
    <r>
      <rPr>
        <sz val="11"/>
        <color theme="1"/>
        <rFont val="Aptos Narrow"/>
        <family val="2"/>
      </rPr>
      <t>( 50) voir dans 1.1</t>
    </r>
  </si>
  <si>
    <r>
      <t xml:space="preserve">4.5 Appui à la </t>
    </r>
    <r>
      <rPr>
        <b/>
        <sz val="11"/>
        <color theme="1"/>
        <rFont val="Aptos Narrow"/>
        <family val="2"/>
      </rPr>
      <t>semaine régionale de réconciliation</t>
    </r>
  </si>
  <si>
    <r>
      <t xml:space="preserve">4.6 Accompagner la </t>
    </r>
    <r>
      <rPr>
        <b/>
        <sz val="11"/>
        <color theme="1"/>
        <rFont val="Aptos Narrow"/>
        <family val="2"/>
      </rPr>
      <t xml:space="preserve">résolution des conflits </t>
    </r>
    <r>
      <rPr>
        <sz val="11"/>
        <color theme="1"/>
        <rFont val="Aptos Narrow"/>
        <family val="2"/>
      </rPr>
      <t>communautaires: appui aux initiatives de paix développées localement (15 actions de gestion de conflits communautaires)</t>
    </r>
  </si>
  <si>
    <r>
      <t xml:space="preserve">4.10 Appuyer la participation et contribution des </t>
    </r>
    <r>
      <rPr>
        <b/>
        <sz val="11"/>
        <color theme="1"/>
        <rFont val="Aptos Narrow"/>
        <family val="2"/>
      </rPr>
      <t>jeunes et des femmes</t>
    </r>
    <r>
      <rPr>
        <sz val="11"/>
        <color theme="1"/>
        <rFont val="Aptos Narrow"/>
        <family val="2"/>
      </rPr>
      <t xml:space="preserve"> du projet dans les activités des </t>
    </r>
    <r>
      <rPr>
        <b/>
        <sz val="11"/>
        <color theme="1"/>
        <rFont val="Aptos Narrow"/>
        <family val="2"/>
      </rPr>
      <t>journées internationales</t>
    </r>
    <r>
      <rPr>
        <sz val="11"/>
        <color theme="1"/>
        <rFont val="Aptos Narrow"/>
        <family val="2"/>
      </rPr>
      <t xml:space="preserve"> de paix des jeunes, des femmes et des 16 jours d'activisme contre les violences faites aux femmes.</t>
    </r>
  </si>
  <si>
    <r>
      <t>4.11 Appui aux comités de gestion des conflits :</t>
    </r>
    <r>
      <rPr>
        <b/>
        <sz val="11"/>
        <color theme="1"/>
        <rFont val="Aptos Narrow"/>
        <family val="2"/>
      </rPr>
      <t xml:space="preserve"> COFO, CCS, ERAR</t>
    </r>
  </si>
  <si>
    <r>
      <t>4.13 Support to AFS</t>
    </r>
    <r>
      <rPr>
        <b/>
        <sz val="11"/>
        <color theme="1"/>
        <rFont val="Aptos Narrow"/>
        <family val="2"/>
      </rPr>
      <t>IT/</t>
    </r>
    <r>
      <rPr>
        <sz val="11"/>
        <color theme="1"/>
        <rFont val="Aptos Narrow"/>
        <family val="2"/>
      </rPr>
      <t>Appui en matériel, équipements et honoraires des consultants</t>
    </r>
  </si>
  <si>
    <t>ETAT D'EXECUTION DU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</si>
</sst>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b/>
      <sz val="11"/>
      <color theme="0"/>
      <name val="Aptos Narrow"/>
      <family val="2"/>
    </font>
    <font>
      <b/>
      <sz val="1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ptos Narrow"/>
      <family val="2"/>
    </font>
    <font>
      <b/>
      <sz val="14"/>
      <name val="Aptos Narrow"/>
      <family val="2"/>
    </font>
    <font>
      <sz val="14"/>
      <color theme="1"/>
      <name val="Aptos Narrow"/>
      <family val="2"/>
      <scheme val="minor"/>
    </font>
    <font>
      <sz val="14"/>
      <name val="Aptos Narrow"/>
      <family val="2"/>
    </font>
    <font>
      <b/>
      <sz val="14"/>
      <color theme="1"/>
      <name val="Times New Roman"/>
      <family val="1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1" fontId="0" fillId="0" borderId="0" xfId="1" applyFont="1"/>
    <xf numFmtId="9" fontId="3" fillId="2" borderId="1" xfId="2" applyFont="1" applyFill="1" applyBorder="1"/>
    <xf numFmtId="41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/>
    <xf numFmtId="41" fontId="0" fillId="3" borderId="1" xfId="1" applyFont="1" applyFill="1" applyBorder="1"/>
    <xf numFmtId="0" fontId="0" fillId="3" borderId="1" xfId="0" applyFill="1" applyBorder="1"/>
    <xf numFmtId="41" fontId="4" fillId="3" borderId="1" xfId="1" applyFont="1" applyFill="1" applyBorder="1"/>
    <xf numFmtId="0" fontId="4" fillId="3" borderId="1" xfId="0" applyFont="1" applyFill="1" applyBorder="1"/>
    <xf numFmtId="0" fontId="2" fillId="3" borderId="1" xfId="0" applyFont="1" applyFill="1" applyBorder="1"/>
    <xf numFmtId="0" fontId="4" fillId="0" borderId="0" xfId="0" applyFont="1"/>
    <xf numFmtId="9" fontId="4" fillId="4" borderId="1" xfId="2" applyFont="1" applyFill="1" applyBorder="1"/>
    <xf numFmtId="41" fontId="4" fillId="4" borderId="1" xfId="1" applyFont="1" applyFill="1" applyBorder="1"/>
    <xf numFmtId="0" fontId="4" fillId="4" borderId="1" xfId="0" applyFont="1" applyFill="1" applyBorder="1"/>
    <xf numFmtId="41" fontId="0" fillId="0" borderId="1" xfId="1" applyFont="1" applyBorder="1"/>
    <xf numFmtId="0" fontId="0" fillId="0" borderId="1" xfId="0" applyBorder="1"/>
    <xf numFmtId="0" fontId="2" fillId="0" borderId="1" xfId="0" applyFont="1" applyBorder="1"/>
    <xf numFmtId="41" fontId="0" fillId="5" borderId="1" xfId="1" applyFont="1" applyFill="1" applyBorder="1"/>
    <xf numFmtId="41" fontId="0" fillId="6" borderId="1" xfId="1" applyFont="1" applyFill="1" applyBorder="1"/>
    <xf numFmtId="41" fontId="2" fillId="5" borderId="1" xfId="1" applyFont="1" applyFill="1" applyBorder="1"/>
    <xf numFmtId="41" fontId="2" fillId="0" borderId="1" xfId="1" applyFont="1" applyBorder="1"/>
    <xf numFmtId="9" fontId="4" fillId="4" borderId="1" xfId="2" applyFont="1" applyFill="1" applyBorder="1" applyAlignment="1">
      <alignment horizontal="center"/>
    </xf>
    <xf numFmtId="41" fontId="0" fillId="0" borderId="1" xfId="1" applyFont="1" applyBorder="1" applyAlignment="1">
      <alignment vertical="center"/>
    </xf>
    <xf numFmtId="9" fontId="4" fillId="4" borderId="1" xfId="2" applyFont="1" applyFill="1" applyBorder="1" applyAlignment="1">
      <alignment horizontal="center" vertical="center"/>
    </xf>
    <xf numFmtId="41" fontId="4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3" fillId="2" borderId="1" xfId="1" applyFont="1" applyFill="1" applyBorder="1"/>
    <xf numFmtId="0" fontId="0" fillId="0" borderId="0" xfId="0" applyAlignment="1">
      <alignment wrapText="1"/>
    </xf>
    <xf numFmtId="0" fontId="7" fillId="2" borderId="8" xfId="0" applyFont="1" applyFill="1" applyBorder="1" applyAlignment="1">
      <alignment vertical="center"/>
    </xf>
    <xf numFmtId="41" fontId="7" fillId="2" borderId="8" xfId="1" applyFont="1" applyFill="1" applyBorder="1" applyAlignment="1">
      <alignment vertical="center"/>
    </xf>
    <xf numFmtId="9" fontId="7" fillId="2" borderId="8" xfId="2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41" fontId="9" fillId="4" borderId="8" xfId="1" applyFont="1" applyFill="1" applyBorder="1"/>
    <xf numFmtId="9" fontId="9" fillId="4" borderId="8" xfId="2" applyFont="1" applyFill="1" applyBorder="1"/>
    <xf numFmtId="0" fontId="8" fillId="0" borderId="0" xfId="0" applyFont="1"/>
    <xf numFmtId="41" fontId="9" fillId="0" borderId="0" xfId="1" applyFont="1"/>
    <xf numFmtId="9" fontId="9" fillId="0" borderId="0" xfId="2" applyFont="1"/>
    <xf numFmtId="0" fontId="9" fillId="0" borderId="0" xfId="0" applyFont="1"/>
    <xf numFmtId="41" fontId="10" fillId="4" borderId="8" xfId="1" applyFont="1" applyFill="1" applyBorder="1"/>
    <xf numFmtId="41" fontId="9" fillId="0" borderId="0" xfId="0" applyNumberFormat="1" applyFont="1"/>
    <xf numFmtId="0" fontId="4" fillId="0" borderId="0" xfId="0" applyFont="1" applyAlignment="1">
      <alignment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41" fontId="14" fillId="4" borderId="8" xfId="1" applyFont="1" applyFill="1" applyBorder="1"/>
    <xf numFmtId="9" fontId="14" fillId="4" borderId="8" xfId="2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5" borderId="4" xfId="1" applyFont="1" applyFill="1" applyBorder="1" applyAlignment="1">
      <alignment horizontal="center"/>
    </xf>
    <xf numFmtId="41" fontId="0" fillId="5" borderId="3" xfId="1" applyFont="1" applyFill="1" applyBorder="1" applyAlignment="1">
      <alignment horizontal="center"/>
    </xf>
    <xf numFmtId="41" fontId="0" fillId="5" borderId="2" xfId="1" applyFont="1" applyFill="1" applyBorder="1" applyAlignment="1">
      <alignment horizontal="center"/>
    </xf>
    <xf numFmtId="41" fontId="3" fillId="2" borderId="7" xfId="1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1" fontId="0" fillId="0" borderId="4" xfId="1" applyFont="1" applyBorder="1" applyAlignment="1">
      <alignment vertical="center"/>
    </xf>
    <xf numFmtId="41" fontId="0" fillId="0" borderId="2" xfId="1" applyFont="1" applyBorder="1" applyAlignment="1">
      <alignment vertical="center"/>
    </xf>
    <xf numFmtId="41" fontId="0" fillId="0" borderId="4" xfId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0" fontId="14" fillId="5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15" fillId="5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3">
    <cellStyle name="Milliers [0]" xfId="1" builtinId="6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E452-72EE-4145-9D78-026007F57F8D}">
  <sheetPr>
    <tabColor theme="5" tint="0.59999389629810485"/>
    <pageSetUpPr fitToPage="1"/>
  </sheetPr>
  <dimension ref="A2:J60"/>
  <sheetViews>
    <sheetView tabSelected="1" topLeftCell="B12" workbookViewId="0">
      <selection activeCell="B13" sqref="B13"/>
    </sheetView>
  </sheetViews>
  <sheetFormatPr baseColWidth="10" defaultRowHeight="14.5" x14ac:dyDescent="0.35"/>
  <cols>
    <col min="1" max="1" width="24.6328125" customWidth="1"/>
    <col min="2" max="2" width="64.90625" style="27" customWidth="1"/>
    <col min="3" max="3" width="15.26953125" customWidth="1"/>
    <col min="4" max="6" width="15.54296875" style="1" customWidth="1"/>
    <col min="7" max="7" width="18.1796875" style="1" customWidth="1"/>
    <col min="8" max="8" width="20.7265625" style="1" customWidth="1"/>
    <col min="9" max="9" width="9.81640625" style="1" bestFit="1" customWidth="1"/>
    <col min="10" max="10" width="16.26953125" style="1" bestFit="1" customWidth="1"/>
  </cols>
  <sheetData>
    <row r="2" spans="1:10" ht="71" customHeight="1" x14ac:dyDescent="0.35">
      <c r="A2" s="79" t="s">
        <v>64</v>
      </c>
      <c r="B2" s="79"/>
      <c r="C2" s="79"/>
      <c r="D2" s="45"/>
      <c r="E2" s="45"/>
      <c r="F2" s="45"/>
    </row>
    <row r="3" spans="1:10" ht="18.5" x14ac:dyDescent="0.45">
      <c r="A3" s="80"/>
      <c r="B3" s="81"/>
      <c r="C3" s="80"/>
      <c r="D3" s="35"/>
      <c r="E3" s="35"/>
      <c r="F3" s="35"/>
    </row>
    <row r="4" spans="1:10" ht="18.5" x14ac:dyDescent="0.35">
      <c r="A4" s="80"/>
      <c r="B4" s="82" t="s">
        <v>65</v>
      </c>
      <c r="C4" s="82"/>
    </row>
    <row r="6" spans="1:10" x14ac:dyDescent="0.35">
      <c r="A6" s="10" t="s">
        <v>56</v>
      </c>
      <c r="B6" s="40"/>
    </row>
    <row r="8" spans="1:10" s="25" customFormat="1" x14ac:dyDescent="0.35">
      <c r="A8" s="52" t="s">
        <v>55</v>
      </c>
      <c r="B8" s="69" t="s">
        <v>54</v>
      </c>
      <c r="C8" s="52" t="s">
        <v>53</v>
      </c>
      <c r="D8" s="52" t="s">
        <v>52</v>
      </c>
      <c r="E8" s="60" t="s">
        <v>51</v>
      </c>
      <c r="F8" s="61"/>
      <c r="G8" s="61"/>
      <c r="H8" s="62"/>
      <c r="I8" s="54" t="s">
        <v>50</v>
      </c>
      <c r="J8" s="54" t="s">
        <v>49</v>
      </c>
    </row>
    <row r="9" spans="1:10" s="25" customFormat="1" ht="26.5" customHeight="1" x14ac:dyDescent="0.35">
      <c r="A9" s="53"/>
      <c r="B9" s="70"/>
      <c r="C9" s="53"/>
      <c r="D9" s="53"/>
      <c r="E9" s="26" t="s">
        <v>48</v>
      </c>
      <c r="F9" s="26" t="s">
        <v>47</v>
      </c>
      <c r="G9" s="26" t="s">
        <v>46</v>
      </c>
      <c r="H9" s="26" t="s">
        <v>45</v>
      </c>
      <c r="I9" s="55"/>
      <c r="J9" s="55"/>
    </row>
    <row r="10" spans="1:10" ht="24" customHeight="1" x14ac:dyDescent="0.35">
      <c r="A10" s="66" t="s">
        <v>44</v>
      </c>
      <c r="B10" s="46" t="s">
        <v>43</v>
      </c>
      <c r="C10" s="15" t="s">
        <v>5</v>
      </c>
      <c r="D10" s="17">
        <v>160000</v>
      </c>
      <c r="E10" s="17">
        <v>59535</v>
      </c>
      <c r="F10" s="14">
        <v>78334.2</v>
      </c>
      <c r="G10" s="14"/>
      <c r="H10" s="14">
        <f>E10+F10+G10</f>
        <v>137869.20000000001</v>
      </c>
      <c r="I10" s="17">
        <f>+D10-H10</f>
        <v>22130.799999999988</v>
      </c>
      <c r="J10" s="17"/>
    </row>
    <row r="11" spans="1:10" ht="58" x14ac:dyDescent="0.35">
      <c r="A11" s="67"/>
      <c r="B11" s="46" t="s">
        <v>42</v>
      </c>
      <c r="C11" s="15" t="s">
        <v>27</v>
      </c>
      <c r="D11" s="56">
        <v>195333</v>
      </c>
      <c r="E11" s="56"/>
      <c r="F11" s="63">
        <v>136421.58000000002</v>
      </c>
      <c r="G11" s="63">
        <v>58945</v>
      </c>
      <c r="H11" s="63">
        <f>E11+F11+G11</f>
        <v>195366.58000000002</v>
      </c>
      <c r="I11" s="57">
        <f>D11-H11</f>
        <v>-33.580000000016298</v>
      </c>
      <c r="J11" s="56"/>
    </row>
    <row r="12" spans="1:10" ht="43.5" x14ac:dyDescent="0.35">
      <c r="A12" s="67"/>
      <c r="B12" s="46" t="s">
        <v>41</v>
      </c>
      <c r="C12" s="15" t="s">
        <v>27</v>
      </c>
      <c r="D12" s="56"/>
      <c r="E12" s="56"/>
      <c r="F12" s="64"/>
      <c r="G12" s="64"/>
      <c r="H12" s="64"/>
      <c r="I12" s="58"/>
      <c r="J12" s="56"/>
    </row>
    <row r="13" spans="1:10" ht="58" x14ac:dyDescent="0.35">
      <c r="A13" s="67"/>
      <c r="B13" s="46" t="s">
        <v>40</v>
      </c>
      <c r="C13" s="15" t="s">
        <v>27</v>
      </c>
      <c r="D13" s="56"/>
      <c r="E13" s="56"/>
      <c r="F13" s="64"/>
      <c r="G13" s="64"/>
      <c r="H13" s="64"/>
      <c r="I13" s="58"/>
      <c r="J13" s="56"/>
    </row>
    <row r="14" spans="1:10" x14ac:dyDescent="0.35">
      <c r="A14" s="68"/>
      <c r="B14" s="46" t="s">
        <v>39</v>
      </c>
      <c r="C14" s="15" t="s">
        <v>27</v>
      </c>
      <c r="D14" s="56"/>
      <c r="E14" s="56"/>
      <c r="F14" s="65"/>
      <c r="G14" s="65"/>
      <c r="H14" s="65"/>
      <c r="I14" s="59"/>
      <c r="J14" s="56"/>
    </row>
    <row r="15" spans="1:10" s="10" customFormat="1" x14ac:dyDescent="0.35">
      <c r="A15" s="13" t="s">
        <v>38</v>
      </c>
      <c r="B15" s="47"/>
      <c r="C15" s="13"/>
      <c r="D15" s="24">
        <f>SUM(D10:D14)</f>
        <v>355333</v>
      </c>
      <c r="E15" s="24">
        <f>SUM(E10:E14)</f>
        <v>59535</v>
      </c>
      <c r="F15" s="24">
        <f>SUM(F10:F14)</f>
        <v>214755.78000000003</v>
      </c>
      <c r="G15" s="24">
        <f>SUM(G10:G14)</f>
        <v>58945</v>
      </c>
      <c r="H15" s="24">
        <f>E15+F15+G15</f>
        <v>333235.78000000003</v>
      </c>
      <c r="I15" s="24">
        <f>D15-H15</f>
        <v>22097.219999999972</v>
      </c>
      <c r="J15" s="23">
        <f>H15/D15</f>
        <v>0.93781264335144787</v>
      </c>
    </row>
    <row r="16" spans="1:10" x14ac:dyDescent="0.35">
      <c r="A16" s="72" t="s">
        <v>37</v>
      </c>
      <c r="B16" s="48" t="s">
        <v>36</v>
      </c>
      <c r="C16" s="15" t="s">
        <v>5</v>
      </c>
      <c r="D16" s="14">
        <f>339077+50000+58000</f>
        <v>447077</v>
      </c>
      <c r="E16" s="17">
        <f>19429.92+269991</f>
        <v>289420.92</v>
      </c>
      <c r="F16" s="14">
        <v>22592.61</v>
      </c>
      <c r="G16" s="14"/>
      <c r="H16" s="14">
        <f>E16+F16+G16</f>
        <v>312013.52999999997</v>
      </c>
      <c r="I16" s="14">
        <f>D16-H16</f>
        <v>135063.47000000003</v>
      </c>
      <c r="J16" s="14"/>
    </row>
    <row r="17" spans="1:10" ht="23" customHeight="1" x14ac:dyDescent="0.35">
      <c r="A17" s="73"/>
      <c r="B17" s="48" t="s">
        <v>35</v>
      </c>
      <c r="C17" s="15" t="s">
        <v>5</v>
      </c>
      <c r="D17" s="14">
        <f>179474+90000</f>
        <v>269474</v>
      </c>
      <c r="E17" s="19">
        <v>317485</v>
      </c>
      <c r="F17" s="17">
        <v>17824.410000000003</v>
      </c>
      <c r="G17" s="14"/>
      <c r="H17" s="14">
        <f>E17+F17+G17</f>
        <v>335309.41000000003</v>
      </c>
      <c r="I17" s="14">
        <f>D17-H17</f>
        <v>-65835.410000000033</v>
      </c>
      <c r="J17" s="14"/>
    </row>
    <row r="18" spans="1:10" ht="43.5" x14ac:dyDescent="0.35">
      <c r="A18" s="73"/>
      <c r="B18" s="48" t="s">
        <v>34</v>
      </c>
      <c r="C18" s="15" t="s">
        <v>5</v>
      </c>
      <c r="D18" s="14">
        <f>83372+150000</f>
        <v>233372</v>
      </c>
      <c r="E18" s="17">
        <f>22632+65472</f>
        <v>88104</v>
      </c>
      <c r="F18" s="14">
        <v>314.26</v>
      </c>
      <c r="G18" s="14"/>
      <c r="H18" s="14">
        <f>E18+F18+G18</f>
        <v>88418.26</v>
      </c>
      <c r="I18" s="14">
        <f>D18-H18</f>
        <v>144953.74</v>
      </c>
      <c r="J18" s="14"/>
    </row>
    <row r="19" spans="1:10" x14ac:dyDescent="0.35">
      <c r="A19" s="74"/>
      <c r="B19" s="46" t="s">
        <v>33</v>
      </c>
      <c r="C19" s="15" t="s">
        <v>5</v>
      </c>
      <c r="D19" s="14">
        <v>35333</v>
      </c>
      <c r="E19" s="14"/>
      <c r="F19" s="14"/>
      <c r="G19" s="14"/>
      <c r="H19" s="14">
        <f>E19+F19+G19</f>
        <v>0</v>
      </c>
      <c r="I19" s="14">
        <f>D19-H19</f>
        <v>35333</v>
      </c>
      <c r="J19" s="14"/>
    </row>
    <row r="20" spans="1:10" s="10" customFormat="1" x14ac:dyDescent="0.35">
      <c r="A20" s="13" t="s">
        <v>32</v>
      </c>
      <c r="B20" s="47"/>
      <c r="C20" s="13"/>
      <c r="D20" s="12">
        <f t="shared" ref="D20:I20" si="0">SUM(D16:D19)</f>
        <v>985256</v>
      </c>
      <c r="E20" s="12">
        <f t="shared" si="0"/>
        <v>695009.91999999993</v>
      </c>
      <c r="F20" s="12">
        <f t="shared" si="0"/>
        <v>40731.280000000006</v>
      </c>
      <c r="G20" s="12">
        <f t="shared" si="0"/>
        <v>0</v>
      </c>
      <c r="H20" s="12">
        <f t="shared" si="0"/>
        <v>735741.2</v>
      </c>
      <c r="I20" s="12">
        <f t="shared" si="0"/>
        <v>249514.8</v>
      </c>
      <c r="J20" s="23">
        <f>H20/D20</f>
        <v>0.7467513011846667</v>
      </c>
    </row>
    <row r="21" spans="1:10" ht="29" x14ac:dyDescent="0.35">
      <c r="A21" s="66" t="s">
        <v>31</v>
      </c>
      <c r="B21" s="48" t="s">
        <v>66</v>
      </c>
      <c r="C21" s="15" t="s">
        <v>5</v>
      </c>
      <c r="D21" s="14">
        <f>156000+67048+50000+150000</f>
        <v>423048</v>
      </c>
      <c r="E21" s="14"/>
      <c r="F21" s="14">
        <v>394985.76000000007</v>
      </c>
      <c r="G21" s="14"/>
      <c r="H21" s="14">
        <f>E21+F21+G21</f>
        <v>394985.76000000007</v>
      </c>
      <c r="I21" s="14">
        <f>D21-H21</f>
        <v>28062.239999999932</v>
      </c>
      <c r="J21" s="14"/>
    </row>
    <row r="22" spans="1:10" ht="29" x14ac:dyDescent="0.35">
      <c r="A22" s="67"/>
      <c r="B22" s="46" t="s">
        <v>30</v>
      </c>
      <c r="C22" s="15" t="s">
        <v>29</v>
      </c>
      <c r="D22" s="75">
        <f>80000+70000</f>
        <v>150000</v>
      </c>
      <c r="E22" s="77"/>
      <c r="F22" s="63">
        <v>95709.98000000001</v>
      </c>
      <c r="G22" s="63">
        <v>49733.78</v>
      </c>
      <c r="H22" s="75">
        <f>E22+F22+G22</f>
        <v>145443.76</v>
      </c>
      <c r="I22" s="75">
        <f>D22-H22</f>
        <v>4556.2399999999907</v>
      </c>
      <c r="J22" s="75"/>
    </row>
    <row r="23" spans="1:10" ht="29" x14ac:dyDescent="0.35">
      <c r="A23" s="67"/>
      <c r="B23" s="48" t="s">
        <v>57</v>
      </c>
      <c r="C23" s="49" t="s">
        <v>29</v>
      </c>
      <c r="D23" s="76"/>
      <c r="E23" s="78"/>
      <c r="F23" s="65"/>
      <c r="G23" s="65"/>
      <c r="H23" s="76"/>
      <c r="I23" s="76"/>
      <c r="J23" s="76"/>
    </row>
    <row r="24" spans="1:10" ht="29" x14ac:dyDescent="0.35">
      <c r="A24" s="67"/>
      <c r="B24" s="48" t="s">
        <v>67</v>
      </c>
      <c r="C24" s="15" t="s">
        <v>5</v>
      </c>
      <c r="D24" s="14">
        <v>150000</v>
      </c>
      <c r="E24" s="17">
        <v>33880</v>
      </c>
      <c r="F24" s="14">
        <v>0</v>
      </c>
      <c r="G24" s="14">
        <v>0</v>
      </c>
      <c r="H24" s="14">
        <f t="shared" ref="H24:H29" si="1">E24+F24+G24</f>
        <v>33880</v>
      </c>
      <c r="I24" s="22">
        <f t="shared" ref="I24:I45" si="2">D24-H24</f>
        <v>116120</v>
      </c>
      <c r="J24" s="14"/>
    </row>
    <row r="25" spans="1:10" x14ac:dyDescent="0.35">
      <c r="A25" s="67"/>
      <c r="B25" s="48" t="s">
        <v>68</v>
      </c>
      <c r="C25" s="15" t="s">
        <v>5</v>
      </c>
      <c r="D25" s="14">
        <v>115000</v>
      </c>
      <c r="E25" s="14">
        <f>130002+38444</f>
        <v>168446</v>
      </c>
      <c r="F25" s="14">
        <v>100714.23</v>
      </c>
      <c r="G25" s="14">
        <v>0</v>
      </c>
      <c r="H25" s="14">
        <f t="shared" si="1"/>
        <v>269160.23</v>
      </c>
      <c r="I25" s="22">
        <f t="shared" si="2"/>
        <v>-154160.22999999998</v>
      </c>
      <c r="J25" s="14"/>
    </row>
    <row r="26" spans="1:10" x14ac:dyDescent="0.35">
      <c r="A26" s="67"/>
      <c r="B26" s="71" t="s">
        <v>58</v>
      </c>
      <c r="C26" s="15" t="s">
        <v>27</v>
      </c>
      <c r="D26" s="19">
        <v>30000</v>
      </c>
      <c r="E26" s="19">
        <v>0</v>
      </c>
      <c r="F26" s="19">
        <v>0</v>
      </c>
      <c r="G26" s="19">
        <v>0</v>
      </c>
      <c r="H26" s="14">
        <f t="shared" si="1"/>
        <v>0</v>
      </c>
      <c r="I26" s="22">
        <f t="shared" si="2"/>
        <v>30000</v>
      </c>
      <c r="J26" s="19"/>
    </row>
    <row r="27" spans="1:10" x14ac:dyDescent="0.35">
      <c r="A27" s="67"/>
      <c r="B27" s="71"/>
      <c r="C27" s="16" t="s">
        <v>5</v>
      </c>
      <c r="D27" s="19">
        <v>10000</v>
      </c>
      <c r="E27" s="19">
        <v>0</v>
      </c>
      <c r="F27" s="19">
        <v>0</v>
      </c>
      <c r="G27" s="19">
        <v>0</v>
      </c>
      <c r="H27" s="14">
        <f t="shared" si="1"/>
        <v>0</v>
      </c>
      <c r="I27" s="22">
        <f t="shared" si="2"/>
        <v>10000</v>
      </c>
      <c r="J27" s="19"/>
    </row>
    <row r="28" spans="1:10" ht="29" x14ac:dyDescent="0.35">
      <c r="A28" s="67"/>
      <c r="B28" s="46" t="s">
        <v>28</v>
      </c>
      <c r="C28" s="15" t="s">
        <v>27</v>
      </c>
      <c r="D28" s="17">
        <v>40000</v>
      </c>
      <c r="E28" s="19">
        <v>0</v>
      </c>
      <c r="F28" s="19">
        <v>0</v>
      </c>
      <c r="G28" s="19">
        <v>0</v>
      </c>
      <c r="H28" s="14">
        <f t="shared" si="1"/>
        <v>0</v>
      </c>
      <c r="I28" s="22">
        <f t="shared" si="2"/>
        <v>40000</v>
      </c>
      <c r="J28" s="17"/>
    </row>
    <row r="29" spans="1:10" x14ac:dyDescent="0.35">
      <c r="A29" s="68"/>
      <c r="B29" s="46" t="s">
        <v>26</v>
      </c>
      <c r="C29" s="15" t="s">
        <v>5</v>
      </c>
      <c r="D29" s="14">
        <v>15000</v>
      </c>
      <c r="E29" s="19">
        <v>0</v>
      </c>
      <c r="F29" s="19">
        <v>0</v>
      </c>
      <c r="G29" s="19">
        <v>0</v>
      </c>
      <c r="H29" s="14">
        <f t="shared" si="1"/>
        <v>0</v>
      </c>
      <c r="I29" s="22">
        <f t="shared" si="2"/>
        <v>15000</v>
      </c>
      <c r="J29" s="14"/>
    </row>
    <row r="30" spans="1:10" s="10" customFormat="1" x14ac:dyDescent="0.35">
      <c r="A30" s="13" t="s">
        <v>25</v>
      </c>
      <c r="B30" s="47"/>
      <c r="C30" s="13"/>
      <c r="D30" s="12">
        <f>SUM(D21:D29)</f>
        <v>933048</v>
      </c>
      <c r="E30" s="12">
        <f>SUM(E21:E29)</f>
        <v>202326</v>
      </c>
      <c r="F30" s="12">
        <f>SUM(F21:F29)</f>
        <v>591409.97000000009</v>
      </c>
      <c r="G30" s="12">
        <f>SUM(G21:G29)</f>
        <v>49733.78</v>
      </c>
      <c r="H30" s="12">
        <f>SUM(H21:H29)</f>
        <v>843469.75</v>
      </c>
      <c r="I30" s="12">
        <f t="shared" si="2"/>
        <v>89578.25</v>
      </c>
      <c r="J30" s="21">
        <f>H30/D30</f>
        <v>0.90399395315139197</v>
      </c>
    </row>
    <row r="31" spans="1:10" ht="29" x14ac:dyDescent="0.35">
      <c r="A31" s="66" t="s">
        <v>24</v>
      </c>
      <c r="B31" s="48" t="s">
        <v>69</v>
      </c>
      <c r="C31" s="15" t="s">
        <v>5</v>
      </c>
      <c r="D31" s="14">
        <v>40000</v>
      </c>
      <c r="E31" s="20">
        <v>0</v>
      </c>
      <c r="F31" s="17">
        <v>13428.65</v>
      </c>
      <c r="G31" s="14">
        <v>0</v>
      </c>
      <c r="H31" s="14">
        <f t="shared" ref="H31:H44" si="3">E31+F31+G31</f>
        <v>13428.65</v>
      </c>
      <c r="I31" s="14">
        <f t="shared" si="2"/>
        <v>26571.35</v>
      </c>
    </row>
    <row r="32" spans="1:10" x14ac:dyDescent="0.35">
      <c r="A32" s="67"/>
      <c r="B32" s="48" t="s">
        <v>23</v>
      </c>
      <c r="C32" s="15" t="s">
        <v>5</v>
      </c>
      <c r="D32" s="14">
        <f>6001+95973</f>
        <v>101974</v>
      </c>
      <c r="E32" s="20">
        <v>0</v>
      </c>
      <c r="F32" s="14"/>
      <c r="G32" s="14">
        <v>0</v>
      </c>
      <c r="H32" s="14">
        <f t="shared" si="3"/>
        <v>0</v>
      </c>
      <c r="I32" s="14">
        <f t="shared" si="2"/>
        <v>101974</v>
      </c>
      <c r="J32" s="14"/>
    </row>
    <row r="33" spans="1:10" x14ac:dyDescent="0.35">
      <c r="A33" s="67"/>
      <c r="B33" s="48" t="s">
        <v>70</v>
      </c>
      <c r="C33" s="15" t="s">
        <v>5</v>
      </c>
      <c r="D33" s="14">
        <v>30000</v>
      </c>
      <c r="E33" s="20">
        <v>0</v>
      </c>
      <c r="F33" s="14">
        <v>22394.34</v>
      </c>
      <c r="G33" s="14">
        <v>0</v>
      </c>
      <c r="H33" s="14">
        <f t="shared" si="3"/>
        <v>22394.34</v>
      </c>
      <c r="I33" s="14">
        <f t="shared" si="2"/>
        <v>7605.66</v>
      </c>
      <c r="J33" s="14"/>
    </row>
    <row r="34" spans="1:10" x14ac:dyDescent="0.35">
      <c r="A34" s="67"/>
      <c r="B34" s="48" t="s">
        <v>71</v>
      </c>
      <c r="C34" s="15" t="s">
        <v>5</v>
      </c>
      <c r="D34" s="14">
        <v>25000</v>
      </c>
      <c r="E34" s="20">
        <v>0</v>
      </c>
      <c r="F34" s="14"/>
      <c r="G34" s="14">
        <v>0</v>
      </c>
      <c r="H34" s="14">
        <f t="shared" si="3"/>
        <v>0</v>
      </c>
      <c r="I34" s="14">
        <f t="shared" si="2"/>
        <v>25000</v>
      </c>
      <c r="J34" s="14"/>
    </row>
    <row r="35" spans="1:10" x14ac:dyDescent="0.35">
      <c r="A35" s="67"/>
      <c r="B35" s="48" t="s">
        <v>22</v>
      </c>
      <c r="C35" s="15" t="s">
        <v>5</v>
      </c>
      <c r="D35" s="14">
        <v>99998.7</v>
      </c>
      <c r="E35" s="20">
        <v>0</v>
      </c>
      <c r="F35" s="14"/>
      <c r="G35" s="14">
        <v>0</v>
      </c>
      <c r="H35" s="14">
        <f t="shared" si="3"/>
        <v>0</v>
      </c>
      <c r="I35" s="14">
        <f t="shared" si="2"/>
        <v>99998.7</v>
      </c>
      <c r="J35" s="14"/>
    </row>
    <row r="36" spans="1:10" x14ac:dyDescent="0.35">
      <c r="A36" s="67"/>
      <c r="B36" s="48" t="s">
        <v>72</v>
      </c>
      <c r="C36" s="15" t="s">
        <v>5</v>
      </c>
      <c r="D36" s="14">
        <v>43000</v>
      </c>
      <c r="E36" s="20">
        <v>0</v>
      </c>
      <c r="F36" s="18">
        <f>16992.11+15000</f>
        <v>31992.11</v>
      </c>
      <c r="G36" s="14">
        <v>0</v>
      </c>
      <c r="H36" s="14">
        <f t="shared" si="3"/>
        <v>31992.11</v>
      </c>
      <c r="I36" s="14">
        <f t="shared" si="2"/>
        <v>11007.89</v>
      </c>
      <c r="J36" s="14"/>
    </row>
    <row r="37" spans="1:10" ht="43.5" x14ac:dyDescent="0.35">
      <c r="A37" s="67"/>
      <c r="B37" s="48" t="s">
        <v>73</v>
      </c>
      <c r="C37" s="15" t="s">
        <v>5</v>
      </c>
      <c r="D37" s="14">
        <v>30000</v>
      </c>
      <c r="E37" s="20">
        <v>0</v>
      </c>
      <c r="F37" s="18">
        <f>5652.02+18000</f>
        <v>23652.02</v>
      </c>
      <c r="G37" s="14">
        <v>0</v>
      </c>
      <c r="H37" s="14">
        <f t="shared" si="3"/>
        <v>23652.02</v>
      </c>
      <c r="I37" s="14">
        <f t="shared" si="2"/>
        <v>6347.98</v>
      </c>
      <c r="J37" s="14"/>
    </row>
    <row r="38" spans="1:10" ht="29" x14ac:dyDescent="0.35">
      <c r="A38" s="67"/>
      <c r="B38" s="46" t="s">
        <v>21</v>
      </c>
      <c r="C38" s="15" t="s">
        <v>5</v>
      </c>
      <c r="D38" s="14">
        <v>20000</v>
      </c>
      <c r="E38" s="20">
        <v>0</v>
      </c>
      <c r="F38" s="14"/>
      <c r="G38" s="14">
        <v>0</v>
      </c>
      <c r="H38" s="14">
        <f t="shared" si="3"/>
        <v>0</v>
      </c>
      <c r="I38" s="14">
        <f t="shared" si="2"/>
        <v>20000</v>
      </c>
      <c r="J38" s="14"/>
    </row>
    <row r="39" spans="1:10" ht="87" x14ac:dyDescent="0.35">
      <c r="A39" s="67"/>
      <c r="B39" s="46" t="s">
        <v>20</v>
      </c>
      <c r="C39" s="15" t="s">
        <v>5</v>
      </c>
      <c r="D39" s="14">
        <v>50000</v>
      </c>
      <c r="E39" s="20">
        <v>0</v>
      </c>
      <c r="F39" s="14"/>
      <c r="G39" s="14">
        <v>0</v>
      </c>
      <c r="H39" s="14">
        <f t="shared" si="3"/>
        <v>0</v>
      </c>
      <c r="I39" s="14">
        <f t="shared" si="2"/>
        <v>50000</v>
      </c>
      <c r="J39" s="14"/>
    </row>
    <row r="40" spans="1:10" ht="29" x14ac:dyDescent="0.35">
      <c r="A40" s="67"/>
      <c r="B40" s="46" t="s">
        <v>19</v>
      </c>
      <c r="C40" s="15" t="s">
        <v>5</v>
      </c>
      <c r="D40" s="14">
        <v>40000</v>
      </c>
      <c r="E40" s="20">
        <v>0</v>
      </c>
      <c r="F40" s="14">
        <f>4483.3+12000</f>
        <v>16483.3</v>
      </c>
      <c r="G40" s="14">
        <v>0</v>
      </c>
      <c r="H40" s="14">
        <f t="shared" si="3"/>
        <v>16483.3</v>
      </c>
      <c r="I40" s="14">
        <f t="shared" si="2"/>
        <v>23516.7</v>
      </c>
      <c r="J40" s="14"/>
    </row>
    <row r="41" spans="1:10" ht="43.5" x14ac:dyDescent="0.35">
      <c r="A41" s="67"/>
      <c r="B41" s="48" t="s">
        <v>74</v>
      </c>
      <c r="C41" s="15" t="s">
        <v>5</v>
      </c>
      <c r="D41" s="14">
        <v>40000</v>
      </c>
      <c r="E41" s="20">
        <v>0</v>
      </c>
      <c r="F41" s="14">
        <f>6808.01+16000</f>
        <v>22808.010000000002</v>
      </c>
      <c r="G41" s="14">
        <v>0</v>
      </c>
      <c r="H41" s="14">
        <f t="shared" si="3"/>
        <v>22808.010000000002</v>
      </c>
      <c r="I41" s="14">
        <f t="shared" si="2"/>
        <v>17191.989999999998</v>
      </c>
      <c r="J41" s="14"/>
    </row>
    <row r="42" spans="1:10" x14ac:dyDescent="0.35">
      <c r="A42" s="67"/>
      <c r="B42" s="48" t="s">
        <v>75</v>
      </c>
      <c r="C42" s="15" t="s">
        <v>5</v>
      </c>
      <c r="D42" s="14">
        <v>30000</v>
      </c>
      <c r="E42" s="14">
        <v>2525.89</v>
      </c>
      <c r="F42" s="14">
        <v>30751.69</v>
      </c>
      <c r="G42" s="14">
        <v>0</v>
      </c>
      <c r="H42" s="14">
        <f t="shared" si="3"/>
        <v>33277.58</v>
      </c>
      <c r="I42" s="14">
        <f t="shared" si="2"/>
        <v>-3277.5800000000017</v>
      </c>
      <c r="J42" s="14"/>
    </row>
    <row r="43" spans="1:10" x14ac:dyDescent="0.35">
      <c r="A43" s="67"/>
      <c r="B43" s="46" t="s">
        <v>18</v>
      </c>
      <c r="C43" s="15" t="s">
        <v>5</v>
      </c>
      <c r="D43" s="14">
        <v>5333</v>
      </c>
      <c r="E43" s="14">
        <v>0</v>
      </c>
      <c r="F43" s="14">
        <v>0</v>
      </c>
      <c r="G43" s="14">
        <v>0</v>
      </c>
      <c r="H43" s="14">
        <f t="shared" si="3"/>
        <v>0</v>
      </c>
      <c r="I43" s="14">
        <f t="shared" si="2"/>
        <v>5333</v>
      </c>
      <c r="J43" s="14"/>
    </row>
    <row r="44" spans="1:10" ht="29" x14ac:dyDescent="0.35">
      <c r="A44" s="68"/>
      <c r="B44" s="48" t="s">
        <v>76</v>
      </c>
      <c r="C44" s="15" t="s">
        <v>17</v>
      </c>
      <c r="D44" s="14">
        <v>200000</v>
      </c>
      <c r="E44" s="17">
        <v>43528</v>
      </c>
      <c r="F44" s="19">
        <v>35209</v>
      </c>
      <c r="G44" s="14">
        <v>0</v>
      </c>
      <c r="H44" s="14">
        <f t="shared" si="3"/>
        <v>78737</v>
      </c>
      <c r="I44" s="14">
        <f t="shared" si="2"/>
        <v>121263</v>
      </c>
      <c r="J44" s="14"/>
    </row>
    <row r="45" spans="1:10" s="10" customFormat="1" x14ac:dyDescent="0.35">
      <c r="A45" s="13" t="s">
        <v>16</v>
      </c>
      <c r="B45" s="47"/>
      <c r="C45" s="13"/>
      <c r="D45" s="12">
        <f>SUM(D31:D44)</f>
        <v>755305.7</v>
      </c>
      <c r="E45" s="12">
        <f>SUM(E31:E44)</f>
        <v>46053.89</v>
      </c>
      <c r="F45" s="12">
        <f>SUM(F31:F44)</f>
        <v>196719.12000000002</v>
      </c>
      <c r="G45" s="12">
        <f>SUM(G31:G44)</f>
        <v>0</v>
      </c>
      <c r="H45" s="12">
        <f>SUM(H31:H44)</f>
        <v>242773.01</v>
      </c>
      <c r="I45" s="12">
        <f t="shared" si="2"/>
        <v>512532.68999999994</v>
      </c>
      <c r="J45" s="11">
        <f>H45/D45</f>
        <v>0.32142351103665712</v>
      </c>
    </row>
    <row r="46" spans="1:10" x14ac:dyDescent="0.35">
      <c r="A46" s="66" t="s">
        <v>15</v>
      </c>
      <c r="B46" s="48" t="s">
        <v>14</v>
      </c>
      <c r="C46" s="15"/>
      <c r="D46" s="14"/>
      <c r="E46" s="14"/>
      <c r="F46" s="14"/>
      <c r="G46" s="14"/>
      <c r="H46" s="14"/>
      <c r="I46" s="14"/>
      <c r="J46" s="14"/>
    </row>
    <row r="47" spans="1:10" x14ac:dyDescent="0.35">
      <c r="A47" s="67"/>
      <c r="B47" s="48" t="s">
        <v>13</v>
      </c>
      <c r="C47" s="15" t="s">
        <v>5</v>
      </c>
      <c r="D47" s="14">
        <v>1249871.76</v>
      </c>
      <c r="E47" s="14">
        <v>0</v>
      </c>
      <c r="F47" s="17">
        <f>89485.45+956041</f>
        <v>1045526.45</v>
      </c>
      <c r="G47" s="14">
        <v>0</v>
      </c>
      <c r="H47" s="14">
        <f t="shared" ref="H47:H55" si="4">E47+F47+G47</f>
        <v>1045526.45</v>
      </c>
      <c r="I47" s="14">
        <f t="shared" ref="I47:I55" si="5">D47-H47</f>
        <v>204345.31000000006</v>
      </c>
      <c r="J47" s="14"/>
    </row>
    <row r="48" spans="1:10" x14ac:dyDescent="0.35">
      <c r="A48" s="67"/>
      <c r="B48" s="48" t="s">
        <v>12</v>
      </c>
      <c r="C48" s="15" t="s">
        <v>5</v>
      </c>
      <c r="D48" s="14">
        <v>100000</v>
      </c>
      <c r="E48" s="14"/>
      <c r="F48" s="17">
        <v>314997</v>
      </c>
      <c r="G48" s="14"/>
      <c r="H48" s="14">
        <f t="shared" si="4"/>
        <v>314997</v>
      </c>
      <c r="I48" s="14">
        <f t="shared" si="5"/>
        <v>-214997</v>
      </c>
      <c r="J48" s="14"/>
    </row>
    <row r="49" spans="1:10" x14ac:dyDescent="0.35">
      <c r="A49" s="67"/>
      <c r="B49" s="48" t="s">
        <v>11</v>
      </c>
      <c r="C49" s="15" t="s">
        <v>5</v>
      </c>
      <c r="D49" s="14">
        <v>115243</v>
      </c>
      <c r="E49" s="14"/>
      <c r="F49" s="18">
        <f>98213.9+10000</f>
        <v>108213.9</v>
      </c>
      <c r="G49" s="14"/>
      <c r="H49" s="14">
        <f t="shared" si="4"/>
        <v>108213.9</v>
      </c>
      <c r="I49" s="14">
        <f t="shared" si="5"/>
        <v>7029.1000000000058</v>
      </c>
      <c r="J49" s="14"/>
    </row>
    <row r="50" spans="1:10" ht="29" x14ac:dyDescent="0.35">
      <c r="A50" s="67"/>
      <c r="B50" s="48" t="s">
        <v>59</v>
      </c>
      <c r="C50" s="15" t="s">
        <v>5</v>
      </c>
      <c r="D50" s="14">
        <v>46000</v>
      </c>
      <c r="E50" s="14">
        <v>0</v>
      </c>
      <c r="F50" s="14">
        <v>38087.81</v>
      </c>
      <c r="G50" s="14">
        <v>0</v>
      </c>
      <c r="H50" s="14">
        <f t="shared" si="4"/>
        <v>38087.81</v>
      </c>
      <c r="I50" s="14">
        <f t="shared" si="5"/>
        <v>7912.1900000000023</v>
      </c>
      <c r="J50" s="14"/>
    </row>
    <row r="51" spans="1:10" x14ac:dyDescent="0.35">
      <c r="A51" s="67"/>
      <c r="B51" s="48" t="s">
        <v>10</v>
      </c>
      <c r="C51" s="16" t="s">
        <v>5</v>
      </c>
      <c r="D51" s="14">
        <v>96911</v>
      </c>
      <c r="E51" s="14">
        <v>0</v>
      </c>
      <c r="F51" s="14">
        <v>41910.370000000003</v>
      </c>
      <c r="G51" s="14">
        <v>31069</v>
      </c>
      <c r="H51" s="14">
        <f t="shared" si="4"/>
        <v>72979.37</v>
      </c>
      <c r="I51" s="14">
        <f t="shared" si="5"/>
        <v>23931.630000000005</v>
      </c>
      <c r="J51" s="14"/>
    </row>
    <row r="52" spans="1:10" x14ac:dyDescent="0.35">
      <c r="A52" s="67"/>
      <c r="B52" s="48" t="s">
        <v>9</v>
      </c>
      <c r="C52" s="15" t="s">
        <v>5</v>
      </c>
      <c r="D52" s="14">
        <v>30000</v>
      </c>
      <c r="E52" s="14">
        <v>0</v>
      </c>
      <c r="F52" s="18">
        <f>245.21+10000</f>
        <v>10245.209999999999</v>
      </c>
      <c r="G52" s="14">
        <v>0</v>
      </c>
      <c r="H52" s="14">
        <f t="shared" si="4"/>
        <v>10245.209999999999</v>
      </c>
      <c r="I52" s="14">
        <f t="shared" si="5"/>
        <v>19754.79</v>
      </c>
      <c r="J52" s="14"/>
    </row>
    <row r="53" spans="1:10" x14ac:dyDescent="0.35">
      <c r="A53" s="67"/>
      <c r="B53" s="48" t="s">
        <v>8</v>
      </c>
      <c r="C53" s="15" t="s">
        <v>5</v>
      </c>
      <c r="D53" s="14">
        <v>20000</v>
      </c>
      <c r="E53" s="14">
        <v>0</v>
      </c>
      <c r="F53" s="17">
        <v>30957.11</v>
      </c>
      <c r="G53" s="14">
        <v>0</v>
      </c>
      <c r="H53" s="14">
        <f t="shared" si="4"/>
        <v>30957.11</v>
      </c>
      <c r="I53" s="14">
        <f t="shared" si="5"/>
        <v>-10957.11</v>
      </c>
      <c r="J53" s="14"/>
    </row>
    <row r="54" spans="1:10" x14ac:dyDescent="0.35">
      <c r="A54" s="67"/>
      <c r="B54" s="48" t="s">
        <v>7</v>
      </c>
      <c r="C54" s="15" t="s">
        <v>5</v>
      </c>
      <c r="D54" s="14">
        <v>11260</v>
      </c>
      <c r="E54" s="14">
        <v>0</v>
      </c>
      <c r="F54" s="14">
        <v>11260</v>
      </c>
      <c r="G54" s="14">
        <v>0</v>
      </c>
      <c r="H54" s="14">
        <f t="shared" si="4"/>
        <v>11260</v>
      </c>
      <c r="I54" s="14">
        <f t="shared" si="5"/>
        <v>0</v>
      </c>
      <c r="J54" s="14"/>
    </row>
    <row r="55" spans="1:10" ht="29" x14ac:dyDescent="0.35">
      <c r="A55" s="68"/>
      <c r="B55" s="46" t="s">
        <v>6</v>
      </c>
      <c r="C55" s="15" t="s">
        <v>5</v>
      </c>
      <c r="D55" s="14">
        <v>30000</v>
      </c>
      <c r="E55" s="14">
        <v>0</v>
      </c>
      <c r="F55" s="14">
        <v>30000</v>
      </c>
      <c r="G55" s="14">
        <v>0</v>
      </c>
      <c r="H55" s="14">
        <f t="shared" si="4"/>
        <v>30000</v>
      </c>
      <c r="I55" s="14">
        <f t="shared" si="5"/>
        <v>0</v>
      </c>
      <c r="J55" s="14"/>
    </row>
    <row r="56" spans="1:10" s="10" customFormat="1" x14ac:dyDescent="0.35">
      <c r="A56" s="13" t="s">
        <v>4</v>
      </c>
      <c r="B56" s="41"/>
      <c r="C56" s="13"/>
      <c r="D56" s="12">
        <f t="shared" ref="D56:I56" si="6">SUM(D47:D55)</f>
        <v>1699285.76</v>
      </c>
      <c r="E56" s="12">
        <f t="shared" si="6"/>
        <v>0</v>
      </c>
      <c r="F56" s="12">
        <f t="shared" si="6"/>
        <v>1631197.85</v>
      </c>
      <c r="G56" s="12">
        <f t="shared" si="6"/>
        <v>31069</v>
      </c>
      <c r="H56" s="12">
        <f t="shared" si="6"/>
        <v>1662266.8499999999</v>
      </c>
      <c r="I56" s="12">
        <f t="shared" si="6"/>
        <v>37018.910000000069</v>
      </c>
      <c r="J56" s="11">
        <f>H56/D56</f>
        <v>0.97821501782019282</v>
      </c>
    </row>
    <row r="57" spans="1:10" x14ac:dyDescent="0.35">
      <c r="A57" s="9" t="s">
        <v>3</v>
      </c>
      <c r="B57" s="42"/>
      <c r="C57" s="8"/>
      <c r="D57" s="7">
        <f>D15+D20+D30+D45+D56</f>
        <v>4728228.46</v>
      </c>
      <c r="E57" s="7">
        <f>E15+E20+E30+E45+E56</f>
        <v>1002924.8099999999</v>
      </c>
      <c r="F57" s="7">
        <f>F15+F20+F30+F45+F56</f>
        <v>2674814</v>
      </c>
      <c r="G57" s="7">
        <f>G15+G20+G30+G45+G56</f>
        <v>139747.78</v>
      </c>
      <c r="H57" s="7"/>
      <c r="I57" s="7"/>
      <c r="J57" s="7"/>
    </row>
    <row r="58" spans="1:10" x14ac:dyDescent="0.35">
      <c r="A58" s="6" t="s">
        <v>2</v>
      </c>
      <c r="B58" s="43"/>
      <c r="C58" s="6"/>
      <c r="D58" s="5">
        <f>+D57*8%</f>
        <v>378258.27679999999</v>
      </c>
      <c r="E58" s="5"/>
      <c r="F58" s="5">
        <v>290763.97000000108</v>
      </c>
      <c r="G58" s="5"/>
      <c r="H58" s="5"/>
      <c r="I58" s="5"/>
      <c r="J58" s="5"/>
    </row>
    <row r="59" spans="1:10" x14ac:dyDescent="0.35">
      <c r="A59" s="6" t="s">
        <v>1</v>
      </c>
      <c r="B59" s="43"/>
      <c r="C59" s="6"/>
      <c r="D59" s="5">
        <f>+D57*1%</f>
        <v>47282.284599999999</v>
      </c>
      <c r="E59" s="5"/>
      <c r="F59" s="5"/>
      <c r="G59" s="5"/>
      <c r="H59" s="5"/>
      <c r="I59" s="5"/>
      <c r="J59" s="5"/>
    </row>
    <row r="60" spans="1:10" x14ac:dyDescent="0.35">
      <c r="A60" s="4" t="s">
        <v>0</v>
      </c>
      <c r="B60" s="44"/>
      <c r="C60" s="4"/>
      <c r="D60" s="3">
        <f>5153159+74398</f>
        <v>5227557</v>
      </c>
      <c r="E60" s="3">
        <f>E57+E58+E59</f>
        <v>1002924.8099999999</v>
      </c>
      <c r="F60" s="3">
        <f>F15+F20+F30+F45+F56+F58</f>
        <v>2965577.9700000011</v>
      </c>
      <c r="G60" s="3">
        <f>G57+G58+G59</f>
        <v>139747.78</v>
      </c>
      <c r="H60" s="3">
        <f>E60+F60+G60+H58</f>
        <v>4108250.560000001</v>
      </c>
      <c r="I60" s="3">
        <f>D60-H60</f>
        <v>1119306.439999999</v>
      </c>
      <c r="J60" s="2">
        <f>H60/D60</f>
        <v>0.78588345569450524</v>
      </c>
    </row>
  </sheetData>
  <mergeCells count="29">
    <mergeCell ref="J8:J9"/>
    <mergeCell ref="J11:J14"/>
    <mergeCell ref="A10:A14"/>
    <mergeCell ref="A16:A19"/>
    <mergeCell ref="A21:A29"/>
    <mergeCell ref="H22:H23"/>
    <mergeCell ref="I22:I23"/>
    <mergeCell ref="J22:J23"/>
    <mergeCell ref="D22:D23"/>
    <mergeCell ref="E22:E23"/>
    <mergeCell ref="F22:F23"/>
    <mergeCell ref="G22:G23"/>
    <mergeCell ref="A46:A55"/>
    <mergeCell ref="A8:A9"/>
    <mergeCell ref="B8:B9"/>
    <mergeCell ref="C8:C9"/>
    <mergeCell ref="B26:B27"/>
    <mergeCell ref="A31:A44"/>
    <mergeCell ref="B4:C4"/>
    <mergeCell ref="A2:C2"/>
    <mergeCell ref="D8:D9"/>
    <mergeCell ref="I8:I9"/>
    <mergeCell ref="D11:D14"/>
    <mergeCell ref="E11:E14"/>
    <mergeCell ref="I11:I14"/>
    <mergeCell ref="E8:H8"/>
    <mergeCell ref="F11:F14"/>
    <mergeCell ref="G11:G14"/>
    <mergeCell ref="H11:H14"/>
  </mergeCells>
  <pageMargins left="0.7" right="0.7" top="0.75" bottom="0.75" header="0.3" footer="0.3"/>
  <pageSetup paperSize="9" scale="60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419D7-C6EF-4C67-B58D-48C3B1CD9BF6}">
  <sheetPr>
    <tabColor theme="6" tint="0.39997558519241921"/>
  </sheetPr>
  <dimension ref="A1:J18"/>
  <sheetViews>
    <sheetView topLeftCell="A16" workbookViewId="0">
      <selection activeCell="A21" sqref="A21"/>
    </sheetView>
  </sheetViews>
  <sheetFormatPr baseColWidth="10" defaultRowHeight="18.5" x14ac:dyDescent="0.45"/>
  <cols>
    <col min="1" max="1" width="59.36328125" style="37" customWidth="1"/>
    <col min="2" max="2" width="17.81640625" style="35" bestFit="1" customWidth="1"/>
    <col min="3" max="3" width="19.36328125" style="35" bestFit="1" customWidth="1"/>
    <col min="4" max="4" width="17.81640625" style="35" customWidth="1"/>
    <col min="5" max="5" width="15.54296875" style="36" customWidth="1"/>
  </cols>
  <sheetData>
    <row r="1" spans="1:10" s="80" customFormat="1" ht="71" customHeight="1" x14ac:dyDescent="0.35">
      <c r="A1" s="79" t="s">
        <v>64</v>
      </c>
      <c r="B1" s="79"/>
      <c r="C1" s="79"/>
      <c r="D1" s="79"/>
      <c r="E1" s="79"/>
      <c r="F1" s="83"/>
      <c r="G1" s="1"/>
      <c r="H1" s="1"/>
      <c r="I1" s="1"/>
      <c r="J1" s="1"/>
    </row>
    <row r="2" spans="1:10" s="80" customFormat="1" x14ac:dyDescent="0.45">
      <c r="B2" s="81"/>
      <c r="D2" s="35"/>
      <c r="E2" s="35"/>
      <c r="F2" s="35"/>
      <c r="G2" s="1"/>
      <c r="H2" s="1"/>
      <c r="I2" s="1"/>
      <c r="J2" s="1"/>
    </row>
    <row r="3" spans="1:10" s="80" customFormat="1" ht="17.5" customHeight="1" x14ac:dyDescent="0.35">
      <c r="A3" s="82" t="s">
        <v>77</v>
      </c>
      <c r="B3" s="82"/>
      <c r="C3" s="82"/>
      <c r="D3" s="1"/>
      <c r="E3" s="1"/>
      <c r="F3" s="1"/>
      <c r="G3" s="1"/>
      <c r="H3" s="1"/>
      <c r="I3" s="1"/>
      <c r="J3" s="1"/>
    </row>
    <row r="5" spans="1:10" x14ac:dyDescent="0.45">
      <c r="A5" s="34"/>
    </row>
    <row r="6" spans="1:10" ht="19" thickBot="1" x14ac:dyDescent="0.5"/>
    <row r="7" spans="1:10" s="25" customFormat="1" ht="35.5" customHeight="1" thickTop="1" thickBot="1" x14ac:dyDescent="0.4">
      <c r="A7" s="28" t="s">
        <v>55</v>
      </c>
      <c r="B7" s="28" t="s">
        <v>52</v>
      </c>
      <c r="C7" s="28" t="s">
        <v>51</v>
      </c>
      <c r="D7" s="29" t="s">
        <v>50</v>
      </c>
      <c r="E7" s="30" t="s">
        <v>63</v>
      </c>
    </row>
    <row r="8" spans="1:10" ht="45" customHeight="1" thickTop="1" thickBot="1" x14ac:dyDescent="0.5">
      <c r="A8" s="31" t="s">
        <v>44</v>
      </c>
      <c r="B8" s="32">
        <v>355333</v>
      </c>
      <c r="C8" s="32">
        <v>333235.78000000003</v>
      </c>
      <c r="D8" s="32">
        <f>B8-C8</f>
        <v>22097.219999999972</v>
      </c>
      <c r="E8" s="33">
        <f>C8/B8</f>
        <v>0.93781264335144787</v>
      </c>
    </row>
    <row r="9" spans="1:10" ht="45" customHeight="1" thickTop="1" thickBot="1" x14ac:dyDescent="0.5">
      <c r="A9" s="31" t="s">
        <v>37</v>
      </c>
      <c r="B9" s="32">
        <v>985256</v>
      </c>
      <c r="C9" s="32">
        <v>735741.2</v>
      </c>
      <c r="D9" s="32">
        <f t="shared" ref="D9:D17" si="0">B9-C9</f>
        <v>249514.80000000005</v>
      </c>
      <c r="E9" s="33">
        <f t="shared" ref="E9:E17" si="1">C9/B9</f>
        <v>0.7467513011846667</v>
      </c>
    </row>
    <row r="10" spans="1:10" ht="45" customHeight="1" thickTop="1" thickBot="1" x14ac:dyDescent="0.5">
      <c r="A10" s="31" t="s">
        <v>31</v>
      </c>
      <c r="B10" s="32">
        <v>933048</v>
      </c>
      <c r="C10" s="32">
        <v>843469.75</v>
      </c>
      <c r="D10" s="32">
        <f t="shared" si="0"/>
        <v>89578.25</v>
      </c>
      <c r="E10" s="33">
        <f t="shared" si="1"/>
        <v>0.90399395315139197</v>
      </c>
    </row>
    <row r="11" spans="1:10" ht="45" customHeight="1" thickTop="1" thickBot="1" x14ac:dyDescent="0.5">
      <c r="A11" s="31" t="s">
        <v>24</v>
      </c>
      <c r="B11" s="32">
        <v>755305.7</v>
      </c>
      <c r="C11" s="32">
        <v>242773.01</v>
      </c>
      <c r="D11" s="32">
        <f t="shared" si="0"/>
        <v>512532.68999999994</v>
      </c>
      <c r="E11" s="33">
        <f t="shared" si="1"/>
        <v>0.32142351103665712</v>
      </c>
    </row>
    <row r="12" spans="1:10" ht="45" customHeight="1" thickTop="1" thickBot="1" x14ac:dyDescent="0.5">
      <c r="A12" s="31" t="s">
        <v>15</v>
      </c>
      <c r="B12" s="32">
        <v>1699285.76</v>
      </c>
      <c r="C12" s="38">
        <v>1662266.8499999999</v>
      </c>
      <c r="D12" s="32">
        <f t="shared" si="0"/>
        <v>37018.910000000149</v>
      </c>
      <c r="E12" s="33">
        <f t="shared" si="1"/>
        <v>0.97821501782019282</v>
      </c>
    </row>
    <row r="13" spans="1:10" ht="45" customHeight="1" thickTop="1" thickBot="1" x14ac:dyDescent="0.5">
      <c r="A13" s="31" t="s">
        <v>61</v>
      </c>
      <c r="B13" s="32">
        <f>SUM(B8:B12)</f>
        <v>4728228.46</v>
      </c>
      <c r="C13" s="32">
        <f>SUM(C8:C12)</f>
        <v>3817486.59</v>
      </c>
      <c r="D13" s="32">
        <f t="shared" si="0"/>
        <v>910741.87000000011</v>
      </c>
      <c r="E13" s="33">
        <f t="shared" si="1"/>
        <v>0.8073820083558314</v>
      </c>
    </row>
    <row r="14" spans="1:10" ht="45" customHeight="1" thickTop="1" thickBot="1" x14ac:dyDescent="0.5">
      <c r="A14" s="31" t="s">
        <v>2</v>
      </c>
      <c r="B14" s="32">
        <f>+B13*8%</f>
        <v>378258.27679999999</v>
      </c>
      <c r="C14" s="32">
        <v>290763.97000000108</v>
      </c>
      <c r="D14" s="32">
        <f t="shared" si="0"/>
        <v>87494.306799998914</v>
      </c>
      <c r="E14" s="33">
        <f t="shared" si="1"/>
        <v>0.76869162641942512</v>
      </c>
    </row>
    <row r="15" spans="1:10" ht="45" customHeight="1" thickTop="1" thickBot="1" x14ac:dyDescent="0.5">
      <c r="A15" s="31" t="s">
        <v>1</v>
      </c>
      <c r="B15" s="32">
        <f>+B13*1%</f>
        <v>47282.284599999999</v>
      </c>
      <c r="C15" s="32"/>
      <c r="D15" s="32">
        <f t="shared" si="0"/>
        <v>47282.284599999999</v>
      </c>
      <c r="E15" s="33"/>
    </row>
    <row r="16" spans="1:10" ht="45" customHeight="1" thickTop="1" thickBot="1" x14ac:dyDescent="0.5">
      <c r="A16" s="31" t="s">
        <v>60</v>
      </c>
      <c r="B16" s="32">
        <v>73788</v>
      </c>
      <c r="C16" s="32"/>
      <c r="D16" s="32">
        <f t="shared" si="0"/>
        <v>73788</v>
      </c>
      <c r="E16" s="33"/>
    </row>
    <row r="17" spans="1:5" ht="45" customHeight="1" thickTop="1" thickBot="1" x14ac:dyDescent="0.5">
      <c r="A17" s="31" t="s">
        <v>62</v>
      </c>
      <c r="B17" s="50">
        <f>SUM(B13:B16)</f>
        <v>5227557.0214</v>
      </c>
      <c r="C17" s="50">
        <f>SUM(C13:C16)</f>
        <v>4108250.560000001</v>
      </c>
      <c r="D17" s="50">
        <f t="shared" si="0"/>
        <v>1119306.461399999</v>
      </c>
      <c r="E17" s="51">
        <f t="shared" si="1"/>
        <v>0.7858834524773417</v>
      </c>
    </row>
    <row r="18" spans="1:5" ht="19" thickTop="1" x14ac:dyDescent="0.45">
      <c r="A18" s="39"/>
    </row>
  </sheetData>
  <mergeCells count="2">
    <mergeCell ref="A1:E1"/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F732436BD414ABE4F9007290F88BC" ma:contentTypeVersion="29" ma:contentTypeDescription="Create a new document." ma:contentTypeScope="" ma:versionID="7756ab31655b06bf8e0fcba8adbbff5c">
  <xsd:schema xmlns:xsd="http://www.w3.org/2001/XMLSchema" xmlns:xs="http://www.w3.org/2001/XMLSchema" xmlns:p="http://schemas.microsoft.com/office/2006/metadata/properties" xmlns:ns2="d9cf0e28-81d2-4dc7-8b10-820d80ed680d" xmlns:ns3="e91d5986-7c29-4ed1-8a54-b8fb378ed474" targetNamespace="http://schemas.microsoft.com/office/2006/metadata/properties" ma:root="true" ma:fieldsID="27b71a969902f2a26b14ce6b28c5feb5" ns2:_="" ns3:_="">
    <xsd:import namespace="d9cf0e28-81d2-4dc7-8b10-820d80ed680d"/>
    <xsd:import namespace="e91d5986-7c29-4ed1-8a54-b8fb378ed474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DocumentType" minOccurs="0"/>
                <xsd:element ref="ns2:FileClassificationMode" minOccurs="0"/>
                <xsd:element ref="ns2:FileNameDescription" minOccurs="0"/>
                <xsd:element ref="ns2:ProjectNumber" minOccurs="0"/>
                <xsd:element ref="ns2:OperatingUnit" minOccurs="0"/>
                <xsd:element ref="ns2:Language" minOccurs="0"/>
                <xsd:element ref="ns2:FunctionalArea" minOccurs="0"/>
                <xsd:element ref="ns2:OutputNumber" minOccurs="0"/>
                <xsd:element ref="ns2:DocumentStatus" minOccurs="0"/>
                <xsd:element ref="ns2:DocCoverageStartDate" minOccurs="0"/>
                <xsd:element ref="ns2:DocCoverageEndDate" minOccurs="0"/>
                <xsd:element ref="ns2:FocusArea" minOccurs="0"/>
                <xsd:element ref="ns2:AuthorName" minOccurs="0"/>
                <xsd:element ref="ns2:OfficeCountry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f0e28-81d2-4dc7-8b10-820d80ed680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Category" ma:format="Dropdown" ma:internalName="DocumentCategory">
      <xsd:simpleType>
        <xsd:restriction base="dms:Text">
          <xsd:maxLength value="255"/>
        </xsd:restriction>
      </xsd:simpleType>
    </xsd:element>
    <xsd:element name="DocumentType" ma:index="9" nillable="true" ma:displayName="DocumentType" ma:format="Dropdown" ma:indexed="true" ma:internalName="DocumentType">
      <xsd:simpleType>
        <xsd:restriction base="dms:Text">
          <xsd:maxLength value="255"/>
        </xsd:restriction>
      </xsd:simpleType>
    </xsd:element>
    <xsd:element name="FileClassificationMode" ma:index="10" nillable="true" ma:displayName="FileClassificationMode" ma:format="Dropdown" ma:indexed="true" ma:internalName="FileClassificationMode">
      <xsd:simpleType>
        <xsd:restriction base="dms:Text">
          <xsd:maxLength value="255"/>
        </xsd:restriction>
      </xsd:simpleType>
    </xsd:element>
    <xsd:element name="FileNameDescription" ma:index="11" nillable="true" ma:displayName="FileNameDescription" ma:format="Dropdown" ma:indexed="true" ma:internalName="FileNameDescription">
      <xsd:simpleType>
        <xsd:restriction base="dms:Text">
          <xsd:maxLength value="255"/>
        </xsd:restriction>
      </xsd:simpleType>
    </xsd:element>
    <xsd:element name="ProjectNumber" ma:index="12" nillable="true" ma:displayName="ProjectNumber" ma:format="Dropdown" ma:indexed="true" ma:internalName="ProjectNumber">
      <xsd:simpleType>
        <xsd:restriction base="dms:Text">
          <xsd:maxLength value="255"/>
        </xsd:restriction>
      </xsd:simpleType>
    </xsd:element>
    <xsd:element name="OperatingUnit" ma:index="13" nillable="true" ma:displayName="OperatingUnit" ma:format="Dropdown" ma:indexed="true" ma:internalName="OperatingUnit">
      <xsd:simpleType>
        <xsd:restriction base="dms:Text">
          <xsd:maxLength value="255"/>
        </xsd:restriction>
      </xsd:simpleType>
    </xsd:element>
    <xsd:element name="Language" ma:index="14" nillable="true" ma:displayName="Language" ma:format="Dropdown" ma:internalName="Language">
      <xsd:simpleType>
        <xsd:restriction base="dms:Text">
          <xsd:maxLength value="255"/>
        </xsd:restriction>
      </xsd:simpleType>
    </xsd:element>
    <xsd:element name="FunctionalArea" ma:index="15" nillable="true" ma:displayName="FunctionalArea" ma:format="Dropdown" ma:internalName="FunctionalArea">
      <xsd:simpleType>
        <xsd:restriction base="dms:Text">
          <xsd:maxLength value="255"/>
        </xsd:restriction>
      </xsd:simpleType>
    </xsd:element>
    <xsd:element name="OutputNumber" ma:index="16" nillable="true" ma:displayName="OutputNumber" ma:format="Dropdown" ma:indexed="true" ma:internalName="OutputNumber">
      <xsd:simpleType>
        <xsd:restriction base="dms:Text">
          <xsd:maxLength value="255"/>
        </xsd:restriction>
      </xsd:simpleType>
    </xsd:element>
    <xsd:element name="DocumentStatus" ma:index="17" nillable="true" ma:displayName="DocumentStatus" ma:format="Dropdown" ma:internalName="DocumentStatus">
      <xsd:simpleType>
        <xsd:restriction base="dms:Text">
          <xsd:maxLength value="255"/>
        </xsd:restriction>
      </xsd:simpleType>
    </xsd:element>
    <xsd:element name="DocCoverageStartDate" ma:index="18" nillable="true" ma:displayName="DocCoverageStartDate" ma:default="[today]" ma:format="DateOnly" ma:indexed="true" ma:internalName="DocCoverageStartDate">
      <xsd:simpleType>
        <xsd:restriction base="dms:DateTime"/>
      </xsd:simpleType>
    </xsd:element>
    <xsd:element name="DocCoverageEndDate" ma:index="19" nillable="true" ma:displayName="DocCoverageEndDate" ma:format="DateOnly" ma:internalName="DocCoverageEndDate">
      <xsd:simpleType>
        <xsd:restriction base="dms:DateTime"/>
      </xsd:simpleType>
    </xsd:element>
    <xsd:element name="FocusArea" ma:index="20" nillable="true" ma:displayName="FocusArea" ma:format="Dropdown" ma:internalName="FocusArea">
      <xsd:simpleType>
        <xsd:restriction base="dms:Text">
          <xsd:maxLength value="255"/>
        </xsd:restriction>
      </xsd:simpleType>
    </xsd:element>
    <xsd:element name="AuthorName" ma:index="21" nillable="true" ma:displayName="AuthorName" ma:format="Dropdown" ma:indexed="true" ma:internalName="AuthorName">
      <xsd:simpleType>
        <xsd:restriction base="dms:Text">
          <xsd:maxLength value="255"/>
        </xsd:restriction>
      </xsd:simpleType>
    </xsd:element>
    <xsd:element name="OfficeCountry" ma:index="22" nillable="true" ma:displayName="OfficeCountry" ma:format="Dropdown" ma:indexed="true" ma:internalName="OfficeCountry">
      <xsd:simpleType>
        <xsd:restriction base="dms:Text">
          <xsd:maxLength value="255"/>
        </xsd:restriction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d5986-7c29-4ed1-8a54-b8fb378ed474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89ecd518-8760-4857-902e-5583cb61199f}" ma:internalName="TaxCatchAll" ma:showField="CatchAllData" ma:web="e91d5986-7c29-4ed1-8a54-b8fb378ed4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Country xmlns="d9cf0e28-81d2-4dc7-8b10-820d80ed680d">B0387 - Regional Centre - Dakar</OfficeCountry>
    <DocumentStatus xmlns="d9cf0e28-81d2-4dc7-8b10-820d80ed680d">Approved</DocumentStatus>
    <DocCoverageEndDate xmlns="d9cf0e28-81d2-4dc7-8b10-820d80ed680d">2024-12-31T05:00:00+00:00</DocCoverageEndDate>
    <TaxCatchAll xmlns="e91d5986-7c29-4ed1-8a54-b8fb378ed474" xsi:nil="true"/>
    <FunctionalArea xmlns="d9cf0e28-81d2-4dc7-8b10-820d80ed680d" xsi:nil="true"/>
    <FileNameDescription xmlns="d9cf0e28-81d2-4dc7-8b10-820d80ed680d">FENETRE DU MALI</FileNameDescription>
    <ProjectNumber xmlns="d9cf0e28-81d2-4dc7-8b10-820d80ed680d">00131763</ProjectNumber>
    <DocumentType xmlns="d9cf0e28-81d2-4dc7-8b10-820d80ed680d">Donor Report</DocumentType>
    <Language xmlns="d9cf0e28-81d2-4dc7-8b10-820d80ed680d">English</Language>
    <AuthorName xmlns="d9cf0e28-81d2-4dc7-8b10-820d80ed680d">UNDP</AuthorName>
    <DocumentCategory xmlns="d9cf0e28-81d2-4dc7-8b10-820d80ed680d">Project</DocumentCategory>
    <OperatingUnit xmlns="d9cf0e28-81d2-4dc7-8b10-820d80ed680d">UNDP-HQ</OperatingUnit>
    <lcf76f155ced4ddcb4097134ff3c332f xmlns="d9cf0e28-81d2-4dc7-8b10-820d80ed680d">
      <Terms xmlns="http://schemas.microsoft.com/office/infopath/2007/PartnerControls"/>
    </lcf76f155ced4ddcb4097134ff3c332f>
    <FocusArea xmlns="d9cf0e28-81d2-4dc7-8b10-820d80ed680d" xsi:nil="true"/>
    <DocCoverageStartDate xmlns="d9cf0e28-81d2-4dc7-8b10-820d80ed680d">2024-01-01T05:00:00+00:00</DocCoverageStartDate>
    <FileClassificationMode xmlns="d9cf0e28-81d2-4dc7-8b10-820d80ed680d">Public</FileClassificationMode>
    <OutputNumber xmlns="d9cf0e28-81d2-4dc7-8b10-820d80ed680d">00127299</OutputNumber>
  </documentManagement>
</p:properties>
</file>

<file path=customXml/itemProps1.xml><?xml version="1.0" encoding="utf-8"?>
<ds:datastoreItem xmlns:ds="http://schemas.openxmlformats.org/officeDocument/2006/customXml" ds:itemID="{CD2DEC85-00C8-4B93-BC97-C4FCCAF9216B}"/>
</file>

<file path=customXml/itemProps2.xml><?xml version="1.0" encoding="utf-8"?>
<ds:datastoreItem xmlns:ds="http://schemas.openxmlformats.org/officeDocument/2006/customXml" ds:itemID="{12F8D265-8E79-491F-9FF3-431E44C3A3BD}"/>
</file>

<file path=customXml/itemProps3.xml><?xml version="1.0" encoding="utf-8"?>
<ds:datastoreItem xmlns:ds="http://schemas.openxmlformats.org/officeDocument/2006/customXml" ds:itemID="{6B069D27-3907-4310-9E3F-2D86C7F61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par activité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FENETRE DU MALI</dc:title>
  <dc:creator>Therese INARUKUNDO</dc:creator>
  <cp:lastModifiedBy>Therese INARUKUNDO</cp:lastModifiedBy>
  <dcterms:created xsi:type="dcterms:W3CDTF">2025-02-12T14:51:30Z</dcterms:created>
  <dcterms:modified xsi:type="dcterms:W3CDTF">2025-02-12T19:20:47Z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0x010100155F732436BD414ABE4F9007290F88BC</vt:lpwstr>
  </property>
</Properties>
</file>